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140" windowHeight="10170"/>
  </bookViews>
  <sheets>
    <sheet name="加班單" sheetId="1" r:id="rId1"/>
    <sheet name="工作表1" sheetId="2" r:id="rId2"/>
  </sheets>
  <definedNames>
    <definedName name="_2小時以上時薪">加班單!$B$48</definedName>
    <definedName name="_2小時以內時薪">加班單!$B$47</definedName>
    <definedName name="_xlnm._FilterDatabase" localSheetId="0" hidden="1">加班單!$A$1:$G$27</definedName>
    <definedName name="加班別判斷">加班單!$A$33</definedName>
    <definedName name="加班別判斷1">加班單!$A$33</definedName>
    <definedName name="加班別判斷10">加班單!$A$42</definedName>
    <definedName name="加班別判斷2">加班單!$A$34</definedName>
    <definedName name="加班別判斷3">加班單!$A$35</definedName>
    <definedName name="加班別判斷4">加班單!$A$36</definedName>
    <definedName name="加班別判斷5">加班單!$A$37</definedName>
    <definedName name="加班別判斷6">加班單!$A$38</definedName>
    <definedName name="加班別判斷7">加班單!$A$39</definedName>
    <definedName name="加班別判斷8">加班單!$A$40</definedName>
    <definedName name="加班別判斷9">加班單!$A$41</definedName>
    <definedName name="加班費總金額">加班單!$I$45</definedName>
    <definedName name="平日2小時以上加班費小計">加班單!$D$44</definedName>
    <definedName name="平日2小時以內加班費小計">加班單!$C$44</definedName>
    <definedName name="平日工作2小時以上時數">加班單!$D$43</definedName>
    <definedName name="平日工作2小時以內時數">加班單!$C$43</definedName>
    <definedName name="休日2小時以上">加班單!$H$43</definedName>
    <definedName name="休日2小時以上工資">加班單!#REF!</definedName>
    <definedName name="休日2小時以上加班費小計">加班單!$H$44</definedName>
    <definedName name="休日2小時以內加班費小計">加班單!$G$44</definedName>
    <definedName name="休日8小時以上工資">加班單!$B$51</definedName>
    <definedName name="休日前2小時">加班單!$G$43</definedName>
    <definedName name="休日前2小時工資">加班單!#REF!</definedName>
    <definedName name="休日前2小時時薪">加班單!#REF!</definedName>
    <definedName name="休日超過8小時">加班單!$I$43</definedName>
    <definedName name="假日8小時以上">加班單!$B$50</definedName>
    <definedName name="假日天數">加班單!$E$43</definedName>
    <definedName name="假日日薪">加班單!$B$49</definedName>
    <definedName name="假日加班日薪小計">加班單!$E$44</definedName>
    <definedName name="假日超時">加班單!#REF!</definedName>
    <definedName name="假日超時加班小計">加班單!$F$44</definedName>
    <definedName name="假日超時加班時數">加班單!$F$43</definedName>
    <definedName name="假日超時加班費小計">加班單!#REF!</definedName>
    <definedName name="備註1">加班單!$J$33</definedName>
    <definedName name="備註10">加班單!$J$42</definedName>
    <definedName name="備註2">加班單!$J$34</definedName>
    <definedName name="備註3">加班單!$J$35</definedName>
    <definedName name="備註4">加班單!$J$36</definedName>
    <definedName name="備註5">加班單!$J$37</definedName>
    <definedName name="備註6">加班單!$J$38</definedName>
    <definedName name="備註7">加班單!$J$39</definedName>
    <definedName name="備註8">加班單!$J$40</definedName>
    <definedName name="備註9">加班單!$J$41</definedName>
  </definedNames>
  <calcPr calcId="145621"/>
</workbook>
</file>

<file path=xl/calcChain.xml><?xml version="1.0" encoding="utf-8"?>
<calcChain xmlns="http://schemas.openxmlformats.org/spreadsheetml/2006/main">
  <c r="E64" i="1" l="1"/>
  <c r="E74" i="1" l="1"/>
  <c r="F74" i="1" s="1"/>
  <c r="E73" i="1"/>
  <c r="F73" i="1" s="1"/>
  <c r="E72" i="1"/>
  <c r="G72" i="1" s="1"/>
  <c r="E71" i="1"/>
  <c r="F71" i="1" s="1"/>
  <c r="E70" i="1"/>
  <c r="G70" i="1" s="1"/>
  <c r="E69" i="1"/>
  <c r="F69" i="1" s="1"/>
  <c r="E68" i="1"/>
  <c r="G68" i="1" s="1"/>
  <c r="E67" i="1"/>
  <c r="F67" i="1" s="1"/>
  <c r="E66" i="1"/>
  <c r="G66" i="1" s="1"/>
  <c r="E65" i="1"/>
  <c r="F65" i="1" s="1"/>
  <c r="F64" i="1"/>
  <c r="H72" i="1" l="1"/>
  <c r="H68" i="1"/>
  <c r="B47" i="1" s="1"/>
  <c r="I64" i="1"/>
  <c r="H74" i="1"/>
  <c r="H70" i="1"/>
  <c r="H66" i="1"/>
  <c r="G74" i="1"/>
  <c r="H73" i="1"/>
  <c r="H71" i="1"/>
  <c r="H67" i="1"/>
  <c r="H65" i="1"/>
  <c r="H64" i="1"/>
  <c r="I74" i="1"/>
  <c r="I73" i="1"/>
  <c r="I72" i="1"/>
  <c r="I71" i="1"/>
  <c r="I70" i="1"/>
  <c r="I69" i="1"/>
  <c r="I68" i="1"/>
  <c r="I67" i="1"/>
  <c r="I66" i="1"/>
  <c r="I65" i="1"/>
  <c r="G64" i="1"/>
  <c r="G73" i="1"/>
  <c r="G71" i="1"/>
  <c r="G69" i="1"/>
  <c r="G67" i="1"/>
  <c r="G65" i="1"/>
  <c r="F72" i="1"/>
  <c r="F70" i="1"/>
  <c r="F68" i="1"/>
  <c r="B49" i="1" s="1"/>
  <c r="F66" i="1"/>
  <c r="H69" i="1"/>
  <c r="B50" i="1" l="1"/>
  <c r="B48" i="1"/>
  <c r="B51" i="1" s="1"/>
  <c r="A42" i="1" l="1"/>
  <c r="A41" i="1"/>
  <c r="A40" i="1"/>
  <c r="A39" i="1"/>
  <c r="A38" i="1"/>
  <c r="A37" i="1"/>
  <c r="A36" i="1"/>
  <c r="A35" i="1"/>
  <c r="A34" i="1"/>
  <c r="A33" i="1"/>
  <c r="C10" i="1" l="1"/>
  <c r="C11" i="1"/>
  <c r="C12" i="1"/>
  <c r="C14" i="1"/>
  <c r="C16" i="1"/>
  <c r="C17" i="1"/>
  <c r="C18" i="1"/>
  <c r="C13" i="1"/>
  <c r="C15" i="1"/>
  <c r="G39" i="1" l="1"/>
  <c r="I39" i="1"/>
  <c r="H39" i="1"/>
  <c r="H42" i="1"/>
  <c r="G42" i="1"/>
  <c r="I42" i="1"/>
  <c r="H40" i="1"/>
  <c r="G40" i="1"/>
  <c r="I40" i="1"/>
  <c r="H36" i="1"/>
  <c r="G36" i="1"/>
  <c r="I36" i="1"/>
  <c r="H34" i="1"/>
  <c r="G34" i="1"/>
  <c r="I34" i="1"/>
  <c r="G37" i="1"/>
  <c r="I37" i="1"/>
  <c r="H37" i="1"/>
  <c r="G41" i="1"/>
  <c r="I41" i="1"/>
  <c r="H41" i="1"/>
  <c r="H38" i="1"/>
  <c r="G38" i="1"/>
  <c r="I38" i="1"/>
  <c r="G35" i="1"/>
  <c r="I35" i="1"/>
  <c r="H35" i="1"/>
  <c r="J42" i="1"/>
  <c r="H18" i="1" s="1"/>
  <c r="J41" i="1"/>
  <c r="H17" i="1" s="1"/>
  <c r="J40" i="1"/>
  <c r="H16" i="1" s="1"/>
  <c r="J39" i="1"/>
  <c r="H15" i="1" s="1"/>
  <c r="J38" i="1"/>
  <c r="H14" i="1" s="1"/>
  <c r="J37" i="1"/>
  <c r="H13" i="1" s="1"/>
  <c r="J36" i="1"/>
  <c r="H12" i="1" s="1"/>
  <c r="J35" i="1"/>
  <c r="H11" i="1" s="1"/>
  <c r="J34" i="1"/>
  <c r="H10" i="1" s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C42" i="1" l="1"/>
  <c r="C41" i="1"/>
  <c r="C40" i="1"/>
  <c r="C39" i="1"/>
  <c r="C38" i="1"/>
  <c r="C37" i="1"/>
  <c r="C36" i="1"/>
  <c r="C35" i="1"/>
  <c r="C34" i="1"/>
  <c r="D42" i="1" l="1"/>
  <c r="D41" i="1"/>
  <c r="D40" i="1"/>
  <c r="D39" i="1"/>
  <c r="D38" i="1"/>
  <c r="D37" i="1"/>
  <c r="D36" i="1"/>
  <c r="D35" i="1"/>
  <c r="D34" i="1"/>
  <c r="C26" i="1" l="1"/>
  <c r="E24" i="1" l="1"/>
  <c r="E25" i="1" l="1"/>
  <c r="E20" i="1" l="1"/>
  <c r="E22" i="1"/>
  <c r="E19" i="1"/>
  <c r="E21" i="1"/>
  <c r="E23" i="1" l="1"/>
  <c r="C9" i="1" l="1"/>
  <c r="J33" i="1" l="1"/>
  <c r="H9" i="1" s="1"/>
  <c r="I33" i="1"/>
  <c r="I43" i="1" s="1"/>
  <c r="I44" i="1" s="1"/>
  <c r="G23" i="1" s="1"/>
  <c r="G33" i="1"/>
  <c r="G43" i="1" s="1"/>
  <c r="C21" i="1" s="1"/>
  <c r="H33" i="1"/>
  <c r="H43" i="1" s="1"/>
  <c r="H44" i="1" s="1"/>
  <c r="G22" i="1" s="1"/>
  <c r="E33" i="1"/>
  <c r="E43" i="1" s="1"/>
  <c r="E44" i="1" s="1"/>
  <c r="G24" i="1" s="1"/>
  <c r="D33" i="1"/>
  <c r="D43" i="1" s="1"/>
  <c r="D44" i="1" s="1"/>
  <c r="G20" i="1" s="1"/>
  <c r="C33" i="1"/>
  <c r="C43" i="1" s="1"/>
  <c r="F33" i="1"/>
  <c r="F43" i="1" s="1"/>
  <c r="C20" i="1" l="1"/>
  <c r="G44" i="1"/>
  <c r="G21" i="1" s="1"/>
  <c r="C22" i="1"/>
  <c r="C24" i="1"/>
  <c r="C23" i="1"/>
  <c r="C44" i="1"/>
  <c r="C19" i="1"/>
  <c r="C25" i="1"/>
  <c r="F44" i="1"/>
  <c r="G25" i="1" s="1"/>
  <c r="G19" i="1" l="1"/>
  <c r="I45" i="1"/>
  <c r="E26" i="1" s="1"/>
</calcChain>
</file>

<file path=xl/sharedStrings.xml><?xml version="1.0" encoding="utf-8"?>
<sst xmlns="http://schemas.openxmlformats.org/spreadsheetml/2006/main" count="95" uniqueCount="79">
  <si>
    <t>輔仁大學</t>
  </si>
  <si>
    <t>日期</t>
    <phoneticPr fontId="3" type="noConversion"/>
  </si>
  <si>
    <t>開始時刻</t>
    <phoneticPr fontId="3" type="noConversion"/>
  </si>
  <si>
    <t>停止時刻</t>
    <phoneticPr fontId="3" type="noConversion"/>
  </si>
  <si>
    <t>工作時數</t>
    <phoneticPr fontId="3" type="noConversion"/>
  </si>
  <si>
    <t>備註</t>
    <phoneticPr fontId="3" type="noConversion"/>
  </si>
  <si>
    <t>實發金額</t>
    <phoneticPr fontId="3" type="noConversion"/>
  </si>
  <si>
    <t>總金額</t>
    <phoneticPr fontId="3" type="noConversion"/>
  </si>
  <si>
    <t>申請人：</t>
    <phoneticPr fontId="3" type="noConversion"/>
  </si>
  <si>
    <t>人事主管：</t>
  </si>
  <si>
    <t>會計主管：</t>
  </si>
  <si>
    <t>加班別</t>
    <phoneticPr fontId="3" type="noConversion"/>
  </si>
  <si>
    <t>姓名</t>
    <phoneticPr fontId="3" type="noConversion"/>
  </si>
  <si>
    <t>工作項目</t>
    <phoneticPr fontId="3" type="noConversion"/>
  </si>
  <si>
    <t>2小時以內</t>
    <phoneticPr fontId="3" type="noConversion"/>
  </si>
  <si>
    <t>計算式</t>
    <phoneticPr fontId="3" type="noConversion"/>
  </si>
  <si>
    <t>日薪</t>
    <phoneticPr fontId="3" type="noConversion"/>
  </si>
  <si>
    <t>薪資單價</t>
    <phoneticPr fontId="3" type="noConversion"/>
  </si>
  <si>
    <t>小計</t>
    <phoneticPr fontId="3" type="noConversion"/>
  </si>
  <si>
    <t>金額</t>
    <phoneticPr fontId="3" type="noConversion"/>
  </si>
  <si>
    <t>時薪</t>
    <phoneticPr fontId="3" type="noConversion"/>
  </si>
  <si>
    <t>年</t>
    <phoneticPr fontId="3" type="noConversion"/>
  </si>
  <si>
    <t>月  份</t>
    <phoneticPr fontId="3" type="noConversion"/>
  </si>
  <si>
    <t>分機：</t>
    <phoneticPr fontId="3" type="noConversion"/>
  </si>
  <si>
    <t>加班時數</t>
    <phoneticPr fontId="3" type="noConversion"/>
  </si>
  <si>
    <t>加班天數</t>
    <phoneticPr fontId="3" type="noConversion"/>
  </si>
  <si>
    <t>支付單位</t>
    <phoneticPr fontId="3" type="noConversion"/>
  </si>
  <si>
    <t>原服務單位</t>
    <phoneticPr fontId="3" type="noConversion"/>
  </si>
  <si>
    <r>
      <t>其他</t>
    </r>
    <r>
      <rPr>
        <u/>
        <sz val="14"/>
        <rFont val="標楷體"/>
        <family val="4"/>
        <charset val="136"/>
      </rPr>
      <t xml:space="preserve">               </t>
    </r>
    <r>
      <rPr>
        <sz val="14"/>
        <rFont val="標楷體"/>
        <family val="4"/>
        <charset val="136"/>
      </rPr>
      <t>(預算單位/來源)</t>
    </r>
    <phoneticPr fontId="3" type="noConversion"/>
  </si>
  <si>
    <t>2小時以上</t>
    <phoneticPr fontId="3" type="noConversion"/>
  </si>
  <si>
    <t>假日</t>
    <phoneticPr fontId="3" type="noConversion"/>
  </si>
  <si>
    <t>休日(2小時以內)計算時數</t>
    <phoneticPr fontId="3" type="noConversion"/>
  </si>
  <si>
    <t>平日2小時以內</t>
    <phoneticPr fontId="3" type="noConversion"/>
  </si>
  <si>
    <t>平日2小時以上</t>
    <phoneticPr fontId="3" type="noConversion"/>
  </si>
  <si>
    <t>假日8小時以上</t>
    <phoneticPr fontId="3" type="noConversion"/>
  </si>
  <si>
    <t>時薪</t>
    <phoneticPr fontId="3" type="noConversion"/>
  </si>
  <si>
    <t>假日8小時以上</t>
    <phoneticPr fontId="3" type="noConversion"/>
  </si>
  <si>
    <t>休日2小時以內</t>
    <phoneticPr fontId="3" type="noConversion"/>
  </si>
  <si>
    <t>休日(超過8小時)計算時數</t>
    <phoneticPr fontId="3" type="noConversion"/>
  </si>
  <si>
    <t>休日超過8小時</t>
    <phoneticPr fontId="3" type="noConversion"/>
  </si>
  <si>
    <t>休日(3-8小時)計算時數</t>
    <phoneticPr fontId="3" type="noConversion"/>
  </si>
  <si>
    <t>休日8小時以上</t>
    <phoneticPr fontId="3" type="noConversion"/>
  </si>
  <si>
    <t>實際加班總時數</t>
    <phoneticPr fontId="3" type="noConversion"/>
  </si>
  <si>
    <t>備註</t>
    <phoneticPr fontId="3" type="noConversion"/>
  </si>
  <si>
    <t>例假日(8小時以內)計算天數</t>
    <phoneticPr fontId="3" type="noConversion"/>
  </si>
  <si>
    <t>例日(超過8小時)計算時數</t>
    <phoneticPr fontId="3" type="noConversion"/>
  </si>
  <si>
    <t>平假日(超2小時以內)計算時數</t>
    <phoneticPr fontId="3" type="noConversion"/>
  </si>
  <si>
    <t>例假日8小時以內</t>
    <phoneticPr fontId="3" type="noConversion"/>
  </si>
  <si>
    <t>平假日(超2小時以上)計算時數</t>
    <phoneticPr fontId="3" type="noConversion"/>
  </si>
  <si>
    <t>例假</t>
    <phoneticPr fontId="3" type="noConversion"/>
  </si>
  <si>
    <t>休息日</t>
    <phoneticPr fontId="3" type="noConversion"/>
  </si>
  <si>
    <t>週一</t>
    <phoneticPr fontId="3" type="noConversion"/>
  </si>
  <si>
    <t>週二</t>
    <phoneticPr fontId="3" type="noConversion"/>
  </si>
  <si>
    <t>週三</t>
  </si>
  <si>
    <t>週四</t>
  </si>
  <si>
    <t>週五</t>
  </si>
  <si>
    <t>週六</t>
  </si>
  <si>
    <t>週日</t>
  </si>
  <si>
    <t>加班別</t>
    <phoneticPr fontId="3" type="noConversion"/>
  </si>
  <si>
    <t>星期</t>
    <phoneticPr fontId="3" type="noConversion"/>
  </si>
  <si>
    <t>員工編號</t>
    <phoneticPr fontId="3" type="noConversion"/>
  </si>
  <si>
    <r>
      <rPr>
        <b/>
        <sz val="14"/>
        <rFont val="標楷體"/>
        <family val="4"/>
        <charset val="136"/>
      </rPr>
      <t>本月約定休例日(備班表)</t>
    </r>
    <r>
      <rPr>
        <sz val="9"/>
        <rFont val="標楷體"/>
        <family val="4"/>
        <charset val="136"/>
      </rPr>
      <t xml:space="preserve">
勞基法第36條：勞工每七日中應有二日之休息，其中一日為例假，一日為休息日。</t>
    </r>
    <phoneticPr fontId="3" type="noConversion"/>
  </si>
  <si>
    <t xml:space="preserve">   單位主管：</t>
    <phoneticPr fontId="3" type="noConversion"/>
  </si>
  <si>
    <t>國定假日</t>
    <phoneticPr fontId="3" type="noConversion"/>
  </si>
  <si>
    <t>俸點</t>
    <phoneticPr fontId="3" type="noConversion"/>
  </si>
  <si>
    <t>月支數額</t>
  </si>
  <si>
    <t>每日加班費時薪</t>
    <phoneticPr fontId="7" type="noConversion"/>
  </si>
  <si>
    <t>薪點</t>
    <phoneticPr fontId="7" type="noConversion"/>
  </si>
  <si>
    <t>專業加給</t>
    <phoneticPr fontId="7" type="noConversion"/>
  </si>
  <si>
    <t>月薪</t>
    <phoneticPr fontId="7" type="noConversion"/>
  </si>
  <si>
    <t>日薪</t>
    <phoneticPr fontId="7" type="noConversion"/>
  </si>
  <si>
    <t>時薪</t>
    <phoneticPr fontId="7" type="noConversion"/>
  </si>
  <si>
    <t>2小時以內</t>
    <phoneticPr fontId="7" type="noConversion"/>
  </si>
  <si>
    <t>2小時以上</t>
    <phoneticPr fontId="7" type="noConversion"/>
  </si>
  <si>
    <t>技術工友薪資</t>
    <phoneticPr fontId="7" type="noConversion"/>
  </si>
  <si>
    <t>加班費申請單(技術工友)</t>
    <phoneticPr fontId="3" type="noConversion"/>
  </si>
  <si>
    <t>休日3-8小時以上</t>
    <phoneticPr fontId="3" type="noConversion"/>
  </si>
  <si>
    <t>週一</t>
  </si>
  <si>
    <r>
      <t xml:space="preserve">備註：
</t>
    </r>
    <r>
      <rPr>
        <b/>
        <sz val="11"/>
        <color rgb="FFFF0000"/>
        <rFont val="標楷體"/>
        <family val="4"/>
        <charset val="136"/>
      </rPr>
      <t>一、例日：因天災、事變、突發事件，雇主依照勞動基準法第40條規定，停止勞工假期之情況，若非屬上述情形屬於違法事項，另應依法處新臺幣2萬元以上30萬元以下罰鍰。</t>
    </r>
    <r>
      <rPr>
        <b/>
        <sz val="11"/>
        <rFont val="標楷體"/>
        <family val="4"/>
        <charset val="136"/>
      </rPr>
      <t xml:space="preserve">
二、加班應依本校職員加班作業要點事先申請通過，加班費請於</t>
    </r>
    <r>
      <rPr>
        <b/>
        <u/>
        <sz val="11"/>
        <rFont val="標楷體"/>
        <family val="4"/>
        <charset val="136"/>
      </rPr>
      <t>每月三日前</t>
    </r>
    <r>
      <rPr>
        <b/>
        <sz val="11"/>
        <rFont val="標楷體"/>
        <family val="4"/>
        <charset val="136"/>
      </rPr>
      <t>送會計室轉人事室續辦。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</si>
</sst>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76" formatCode="_-&quot;$&quot;* #,##0_-;\-&quot;$&quot;* #,##0_-;_-&quot;$&quot;* &quot;-&quot;??_-;_-@_-"/>
    <numFmt numFmtId="177" formatCode="[$-404]e/m/d;@"/>
    <numFmt numFmtId="178" formatCode="&quot;$&quot;#,##0"/>
    <numFmt numFmtId="179" formatCode="#,##0_ 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細明體"/>
      <family val="3"/>
      <charset val="136"/>
    </font>
    <font>
      <u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b/>
      <u/>
      <sz val="11"/>
      <name val="標楷體"/>
      <family val="4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b/>
      <i/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88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top" shrinkToFit="1"/>
    </xf>
    <xf numFmtId="0" fontId="5" fillId="0" borderId="0" xfId="0" applyFont="1" applyAlignment="1">
      <alignment shrinkToFit="1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178" fontId="6" fillId="0" borderId="1" xfId="0" applyNumberFormat="1" applyFont="1" applyBorder="1" applyAlignment="1">
      <alignment shrinkToFit="1"/>
    </xf>
    <xf numFmtId="0" fontId="5" fillId="0" borderId="0" xfId="0" applyFont="1" applyAlignment="1">
      <alignment horizontal="right" vertical="center" textRotation="1" shrinkToFit="1"/>
    </xf>
    <xf numFmtId="0" fontId="5" fillId="0" borderId="0" xfId="0" applyFont="1" applyAlignment="1">
      <alignment horizontal="left" vertical="center" textRotation="1" shrinkToFit="1"/>
    </xf>
    <xf numFmtId="0" fontId="6" fillId="0" borderId="0" xfId="0" applyFont="1" applyAlignment="1">
      <alignment horizontal="right" shrinkToFit="1"/>
    </xf>
    <xf numFmtId="0" fontId="5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vertical="center" wrapText="1" shrinkToFit="1"/>
    </xf>
    <xf numFmtId="177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20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/>
    <xf numFmtId="0" fontId="9" fillId="0" borderId="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left" vertical="center" textRotation="1" shrinkToFit="1"/>
    </xf>
    <xf numFmtId="0" fontId="8" fillId="0" borderId="0" xfId="0" applyFont="1" applyBorder="1" applyAlignment="1">
      <alignment horizontal="right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shrinkToFit="1"/>
    </xf>
    <xf numFmtId="3" fontId="6" fillId="0" borderId="1" xfId="2" applyNumberFormat="1" applyFont="1" applyBorder="1" applyAlignment="1">
      <alignment horizontal="center" vertical="center" shrinkToFit="1"/>
    </xf>
    <xf numFmtId="179" fontId="6" fillId="0" borderId="1" xfId="3" applyNumberFormat="1" applyFont="1" applyBorder="1" applyAlignment="1">
      <alignment horizontal="center" vertical="center" shrinkToFit="1"/>
    </xf>
    <xf numFmtId="0" fontId="17" fillId="0" borderId="0" xfId="0" applyFont="1" applyAlignment="1">
      <alignment shrinkToFit="1"/>
    </xf>
    <xf numFmtId="0" fontId="5" fillId="0" borderId="14" xfId="2" applyFont="1" applyBorder="1" applyAlignment="1">
      <alignment horizontal="center" vertical="center" shrinkToFit="1"/>
    </xf>
    <xf numFmtId="0" fontId="1" fillId="0" borderId="15" xfId="3" applyBorder="1" applyAlignment="1">
      <alignment horizontal="center" vertical="center" shrinkToFit="1"/>
    </xf>
    <xf numFmtId="0" fontId="1" fillId="0" borderId="16" xfId="3" applyBorder="1" applyAlignment="1">
      <alignment horizontal="center" vertical="center" shrinkToFit="1"/>
    </xf>
    <xf numFmtId="0" fontId="5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shrinkToFit="1"/>
    </xf>
    <xf numFmtId="0" fontId="12" fillId="0" borderId="2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6" fillId="0" borderId="2" xfId="0" applyFont="1" applyBorder="1" applyAlignment="1">
      <alignment shrinkToFit="1"/>
    </xf>
    <xf numFmtId="0" fontId="5" fillId="0" borderId="0" xfId="0" applyFont="1" applyAlignment="1">
      <alignment horizontal="left" vertical="center" textRotation="1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176" fontId="6" fillId="0" borderId="1" xfId="0" applyNumberFormat="1" applyFont="1" applyBorder="1" applyAlignment="1">
      <alignment horizontal="center" shrinkToFit="1"/>
    </xf>
    <xf numFmtId="0" fontId="0" fillId="0" borderId="1" xfId="0" applyBorder="1" applyAlignment="1">
      <alignment shrinkToFit="1"/>
    </xf>
    <xf numFmtId="176" fontId="6" fillId="0" borderId="1" xfId="1" applyNumberFormat="1" applyFont="1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179" fontId="5" fillId="0" borderId="1" xfId="0" applyNumberFormat="1" applyFont="1" applyBorder="1" applyAlignment="1" applyProtection="1">
      <alignment horizontal="center" vertical="center" shrinkToFit="1"/>
      <protection locked="0"/>
    </xf>
    <xf numFmtId="179" fontId="0" fillId="0" borderId="1" xfId="0" applyNumberFormat="1" applyBorder="1" applyAlignment="1" applyProtection="1">
      <alignment shrinkToFit="1"/>
      <protection locked="0"/>
    </xf>
    <xf numFmtId="0" fontId="10" fillId="0" borderId="6" xfId="0" applyFont="1" applyBorder="1" applyAlignment="1" applyProtection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right" shrinkToFit="1"/>
    </xf>
    <xf numFmtId="0" fontId="0" fillId="0" borderId="4" xfId="0" applyBorder="1" applyAlignment="1" applyProtection="1">
      <alignment horizontal="right" shrinkToFit="1"/>
    </xf>
    <xf numFmtId="0" fontId="8" fillId="0" borderId="6" xfId="0" applyFon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5" fillId="0" borderId="2" xfId="0" applyFont="1" applyBorder="1" applyAlignment="1" applyProtection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3" xfId="0" applyFon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vertical="center" shrinkToFit="1"/>
    </xf>
    <xf numFmtId="0" fontId="5" fillId="0" borderId="3" xfId="0" applyFont="1" applyBorder="1" applyAlignment="1" applyProtection="1">
      <alignment vertical="center" shrinkToFit="1"/>
    </xf>
    <xf numFmtId="0" fontId="6" fillId="0" borderId="6" xfId="0" applyFont="1" applyBorder="1" applyAlignment="1">
      <alignment horizontal="center" shrinkToFit="1"/>
    </xf>
    <xf numFmtId="0" fontId="4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</cellXfs>
  <cellStyles count="4">
    <cellStyle name="一般" xfId="0" builtinId="0"/>
    <cellStyle name="一般_Sheet1" xfId="2"/>
    <cellStyle name="一般_複本 工友加班費對照表" xfId="3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</xdr:row>
          <xdr:rowOff>76200</xdr:rowOff>
        </xdr:from>
        <xdr:to>
          <xdr:col>2</xdr:col>
          <xdr:colOff>57150</xdr:colOff>
          <xdr:row>4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</xdr:row>
          <xdr:rowOff>57150</xdr:rowOff>
        </xdr:from>
        <xdr:to>
          <xdr:col>2</xdr:col>
          <xdr:colOff>57150</xdr:colOff>
          <xdr:row>5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5"/>
  <sheetViews>
    <sheetView tabSelected="1" zoomScaleNormal="100" zoomScaleSheetLayoutView="90" workbookViewId="0">
      <selection activeCell="B3" sqref="B3:C3"/>
    </sheetView>
  </sheetViews>
  <sheetFormatPr defaultColWidth="17.875" defaultRowHeight="16.5"/>
  <cols>
    <col min="1" max="1" width="11.875" style="4" customWidth="1"/>
    <col min="2" max="2" width="5.625" style="2" customWidth="1"/>
    <col min="3" max="3" width="9.25" style="2" customWidth="1"/>
    <col min="4" max="4" width="14.125" style="2" customWidth="1"/>
    <col min="5" max="5" width="13.375" style="2" customWidth="1"/>
    <col min="6" max="6" width="11.125" style="2" customWidth="1"/>
    <col min="7" max="7" width="7.125" style="2" customWidth="1"/>
    <col min="8" max="8" width="15.375" style="2" customWidth="1"/>
    <col min="9" max="16384" width="17.875" style="2"/>
  </cols>
  <sheetData>
    <row r="1" spans="1:8" s="1" customFormat="1" ht="27.75">
      <c r="A1" s="84" t="s">
        <v>0</v>
      </c>
      <c r="B1" s="84"/>
      <c r="C1" s="84"/>
      <c r="D1" s="84"/>
      <c r="E1" s="84"/>
      <c r="F1" s="84"/>
      <c r="G1" s="84"/>
      <c r="H1" s="85"/>
    </row>
    <row r="2" spans="1:8" s="3" customFormat="1" ht="21" customHeight="1">
      <c r="A2" s="82" t="s">
        <v>75</v>
      </c>
      <c r="B2" s="82"/>
      <c r="C2" s="83"/>
      <c r="D2" s="83"/>
      <c r="E2" s="83"/>
      <c r="F2" s="83"/>
      <c r="G2" s="83"/>
      <c r="H2" s="83"/>
    </row>
    <row r="3" spans="1:8" s="11" customFormat="1" ht="43.5" customHeight="1">
      <c r="A3" s="24" t="s">
        <v>60</v>
      </c>
      <c r="B3" s="77"/>
      <c r="C3" s="78"/>
      <c r="D3" s="8" t="s">
        <v>12</v>
      </c>
      <c r="E3" s="9"/>
      <c r="F3" s="8" t="s">
        <v>64</v>
      </c>
      <c r="G3" s="63">
        <v>170</v>
      </c>
      <c r="H3" s="64"/>
    </row>
    <row r="4" spans="1:8" s="11" customFormat="1" ht="48.75" customHeight="1">
      <c r="A4" s="31" t="s">
        <v>50</v>
      </c>
      <c r="B4" s="86" t="s">
        <v>56</v>
      </c>
      <c r="C4" s="87"/>
      <c r="D4" s="31" t="s">
        <v>49</v>
      </c>
      <c r="E4" s="10" t="s">
        <v>57</v>
      </c>
      <c r="F4" s="65" t="s">
        <v>61</v>
      </c>
      <c r="G4" s="66"/>
      <c r="H4" s="67"/>
    </row>
    <row r="5" spans="1:8" s="12" customFormat="1" ht="24" customHeight="1">
      <c r="A5" s="79" t="s">
        <v>26</v>
      </c>
      <c r="B5" s="7"/>
      <c r="C5" s="72" t="s">
        <v>27</v>
      </c>
      <c r="D5" s="73"/>
      <c r="E5" s="73"/>
      <c r="F5" s="73"/>
      <c r="G5" s="74"/>
    </row>
    <row r="6" spans="1:8" s="12" customFormat="1" ht="24" customHeight="1">
      <c r="A6" s="80"/>
      <c r="B6" s="13"/>
      <c r="C6" s="75" t="s">
        <v>28</v>
      </c>
      <c r="D6" s="76"/>
      <c r="E6" s="76"/>
      <c r="F6" s="76"/>
      <c r="G6" s="76"/>
    </row>
    <row r="7" spans="1:8" s="12" customFormat="1" ht="19.5" customHeight="1">
      <c r="A7" s="68"/>
      <c r="B7" s="69"/>
      <c r="C7" s="69"/>
      <c r="E7" s="14">
        <v>112</v>
      </c>
      <c r="F7" s="15" t="s">
        <v>21</v>
      </c>
      <c r="G7" s="14"/>
      <c r="H7" s="16" t="s">
        <v>22</v>
      </c>
    </row>
    <row r="8" spans="1:8" s="12" customFormat="1" ht="19.5" customHeight="1">
      <c r="A8" s="17" t="s">
        <v>1</v>
      </c>
      <c r="B8" s="17" t="s">
        <v>59</v>
      </c>
      <c r="C8" s="17" t="s">
        <v>11</v>
      </c>
      <c r="D8" s="17" t="s">
        <v>13</v>
      </c>
      <c r="E8" s="17" t="s">
        <v>2</v>
      </c>
      <c r="F8" s="17" t="s">
        <v>3</v>
      </c>
      <c r="G8" s="17" t="s">
        <v>4</v>
      </c>
      <c r="H8" s="17" t="s">
        <v>5</v>
      </c>
    </row>
    <row r="9" spans="1:8" s="28" customFormat="1" ht="24" customHeight="1">
      <c r="A9" s="25"/>
      <c r="B9" s="25" t="s">
        <v>77</v>
      </c>
      <c r="C9" s="34" t="str">
        <f>加班別判斷</f>
        <v>平日</v>
      </c>
      <c r="D9" s="26"/>
      <c r="E9" s="27"/>
      <c r="F9" s="27"/>
      <c r="G9" s="26"/>
      <c r="H9" s="30" t="str">
        <f>備註1</f>
        <v/>
      </c>
    </row>
    <row r="10" spans="1:8" s="28" customFormat="1" ht="24" customHeight="1">
      <c r="A10" s="25"/>
      <c r="B10" s="25"/>
      <c r="C10" s="34" t="str">
        <f>加班別判斷2</f>
        <v>請選擇星期</v>
      </c>
      <c r="D10" s="26"/>
      <c r="E10" s="27"/>
      <c r="F10" s="27"/>
      <c r="G10" s="26"/>
      <c r="H10" s="30" t="str">
        <f>備註2</f>
        <v/>
      </c>
    </row>
    <row r="11" spans="1:8" s="28" customFormat="1" ht="24" customHeight="1">
      <c r="A11" s="25"/>
      <c r="B11" s="25"/>
      <c r="C11" s="34" t="str">
        <f>加班別判斷3</f>
        <v>請選擇星期</v>
      </c>
      <c r="D11" s="26"/>
      <c r="E11" s="27"/>
      <c r="F11" s="27"/>
      <c r="G11" s="26"/>
      <c r="H11" s="30" t="str">
        <f>備註3</f>
        <v/>
      </c>
    </row>
    <row r="12" spans="1:8" s="28" customFormat="1" ht="24" customHeight="1">
      <c r="A12" s="25"/>
      <c r="B12" s="25"/>
      <c r="C12" s="34" t="str">
        <f>加班別判斷4</f>
        <v>請選擇星期</v>
      </c>
      <c r="D12" s="26"/>
      <c r="E12" s="27"/>
      <c r="F12" s="27"/>
      <c r="G12" s="26"/>
      <c r="H12" s="30" t="str">
        <f>備註4</f>
        <v/>
      </c>
    </row>
    <row r="13" spans="1:8" s="28" customFormat="1" ht="24" customHeight="1">
      <c r="A13" s="25"/>
      <c r="B13" s="25"/>
      <c r="C13" s="34" t="str">
        <f>加班別判斷5</f>
        <v>請選擇星期</v>
      </c>
      <c r="D13" s="26"/>
      <c r="E13" s="27"/>
      <c r="F13" s="27"/>
      <c r="G13" s="26"/>
      <c r="H13" s="30" t="str">
        <f>備註5</f>
        <v/>
      </c>
    </row>
    <row r="14" spans="1:8" s="28" customFormat="1" ht="24" customHeight="1">
      <c r="A14" s="25"/>
      <c r="B14" s="25"/>
      <c r="C14" s="34" t="str">
        <f>加班別判斷6</f>
        <v>請選擇星期</v>
      </c>
      <c r="D14" s="26"/>
      <c r="E14" s="27"/>
      <c r="F14" s="27"/>
      <c r="G14" s="26"/>
      <c r="H14" s="30" t="str">
        <f>備註6</f>
        <v/>
      </c>
    </row>
    <row r="15" spans="1:8" s="28" customFormat="1" ht="24" customHeight="1">
      <c r="A15" s="25"/>
      <c r="B15" s="25"/>
      <c r="C15" s="34" t="str">
        <f>加班別判斷7</f>
        <v>請選擇星期</v>
      </c>
      <c r="D15" s="26"/>
      <c r="E15" s="27"/>
      <c r="F15" s="27"/>
      <c r="G15" s="26"/>
      <c r="H15" s="30" t="str">
        <f>備註7</f>
        <v/>
      </c>
    </row>
    <row r="16" spans="1:8" s="28" customFormat="1" ht="24" customHeight="1">
      <c r="A16" s="25"/>
      <c r="B16" s="25"/>
      <c r="C16" s="34" t="str">
        <f>加班別判斷8</f>
        <v>請選擇星期</v>
      </c>
      <c r="D16" s="26"/>
      <c r="E16" s="27"/>
      <c r="F16" s="27"/>
      <c r="G16" s="26"/>
      <c r="H16" s="30" t="str">
        <f>備註8</f>
        <v/>
      </c>
    </row>
    <row r="17" spans="1:10" s="28" customFormat="1" ht="24" customHeight="1">
      <c r="A17" s="25"/>
      <c r="B17" s="25"/>
      <c r="C17" s="34" t="str">
        <f>加班別判斷9</f>
        <v>請選擇星期</v>
      </c>
      <c r="D17" s="26"/>
      <c r="E17" s="27"/>
      <c r="F17" s="27"/>
      <c r="G17" s="26"/>
      <c r="H17" s="30" t="str">
        <f>備註9</f>
        <v/>
      </c>
    </row>
    <row r="18" spans="1:10" s="28" customFormat="1" ht="24" customHeight="1">
      <c r="A18" s="25"/>
      <c r="B18" s="25"/>
      <c r="C18" s="34" t="str">
        <f>加班別判斷10</f>
        <v>請選擇星期</v>
      </c>
      <c r="D18" s="26"/>
      <c r="E18" s="27"/>
      <c r="F18" s="27"/>
      <c r="G18" s="26"/>
      <c r="H18" s="30" t="str">
        <f>備註10</f>
        <v/>
      </c>
    </row>
    <row r="19" spans="1:10" s="5" customFormat="1" ht="20.100000000000001" customHeight="1">
      <c r="A19" s="70" t="s">
        <v>46</v>
      </c>
      <c r="B19" s="71"/>
      <c r="C19" s="18">
        <f>平日工作2小時以內時數</f>
        <v>0</v>
      </c>
      <c r="D19" s="18" t="s">
        <v>20</v>
      </c>
      <c r="E19" s="19">
        <f>_2小時以內時薪</f>
        <v>198</v>
      </c>
      <c r="F19" s="18" t="s">
        <v>6</v>
      </c>
      <c r="G19" s="59">
        <f>平日2小時以內加班費小計</f>
        <v>0</v>
      </c>
      <c r="H19" s="60"/>
    </row>
    <row r="20" spans="1:10" s="5" customFormat="1" ht="20.100000000000001" customHeight="1">
      <c r="A20" s="70" t="s">
        <v>48</v>
      </c>
      <c r="B20" s="71" t="s">
        <v>24</v>
      </c>
      <c r="C20" s="18">
        <f>平日工作2小時以上時數</f>
        <v>0</v>
      </c>
      <c r="D20" s="18" t="s">
        <v>20</v>
      </c>
      <c r="E20" s="19">
        <f>_2小時以上時薪</f>
        <v>247</v>
      </c>
      <c r="F20" s="18" t="s">
        <v>6</v>
      </c>
      <c r="G20" s="59">
        <f>平日2小時以上加班費小計</f>
        <v>0</v>
      </c>
      <c r="H20" s="60"/>
    </row>
    <row r="21" spans="1:10" s="5" customFormat="1" ht="20.100000000000001" customHeight="1">
      <c r="A21" s="70" t="s">
        <v>31</v>
      </c>
      <c r="B21" s="71" t="s">
        <v>25</v>
      </c>
      <c r="C21" s="18">
        <f>休日前2小時</f>
        <v>0</v>
      </c>
      <c r="D21" s="18" t="s">
        <v>20</v>
      </c>
      <c r="E21" s="19">
        <f>_2小時以內時薪</f>
        <v>198</v>
      </c>
      <c r="F21" s="18" t="s">
        <v>6</v>
      </c>
      <c r="G21" s="59">
        <f>休日2小時以內加班費小計</f>
        <v>0</v>
      </c>
      <c r="H21" s="60"/>
    </row>
    <row r="22" spans="1:10" s="5" customFormat="1" ht="20.100000000000001" customHeight="1">
      <c r="A22" s="70" t="s">
        <v>40</v>
      </c>
      <c r="B22" s="71" t="s">
        <v>25</v>
      </c>
      <c r="C22" s="18">
        <f>休日2小時以上</f>
        <v>0</v>
      </c>
      <c r="D22" s="18" t="s">
        <v>20</v>
      </c>
      <c r="E22" s="19">
        <f>_2小時以上時薪</f>
        <v>247</v>
      </c>
      <c r="F22" s="18" t="s">
        <v>6</v>
      </c>
      <c r="G22" s="59">
        <f>休日2小時以上加班費小計</f>
        <v>0</v>
      </c>
      <c r="H22" s="60"/>
    </row>
    <row r="23" spans="1:10" s="5" customFormat="1" ht="20.100000000000001" customHeight="1">
      <c r="A23" s="70" t="s">
        <v>38</v>
      </c>
      <c r="B23" s="71" t="s">
        <v>25</v>
      </c>
      <c r="C23" s="18">
        <f>休日超過8小時</f>
        <v>0</v>
      </c>
      <c r="D23" s="18" t="s">
        <v>35</v>
      </c>
      <c r="E23" s="19">
        <f>休日8小時以上工資</f>
        <v>395</v>
      </c>
      <c r="F23" s="18" t="s">
        <v>6</v>
      </c>
      <c r="G23" s="59">
        <f>I44</f>
        <v>0</v>
      </c>
      <c r="H23" s="60"/>
    </row>
    <row r="24" spans="1:10" s="12" customFormat="1" ht="20.100000000000001" customHeight="1">
      <c r="A24" s="70" t="s">
        <v>44</v>
      </c>
      <c r="B24" s="71" t="s">
        <v>25</v>
      </c>
      <c r="C24" s="18">
        <f>假日天數</f>
        <v>0</v>
      </c>
      <c r="D24" s="18" t="s">
        <v>16</v>
      </c>
      <c r="E24" s="19">
        <f>假日日薪</f>
        <v>1187</v>
      </c>
      <c r="F24" s="18" t="s">
        <v>6</v>
      </c>
      <c r="G24" s="59">
        <f>假日加班日薪小計</f>
        <v>0</v>
      </c>
      <c r="H24" s="60"/>
    </row>
    <row r="25" spans="1:10" s="12" customFormat="1" ht="20.100000000000001" customHeight="1">
      <c r="A25" s="70" t="s">
        <v>45</v>
      </c>
      <c r="B25" s="71" t="s">
        <v>25</v>
      </c>
      <c r="C25" s="18">
        <f>假日超時加班時數</f>
        <v>0</v>
      </c>
      <c r="D25" s="18" t="s">
        <v>35</v>
      </c>
      <c r="E25" s="19">
        <f>假日8小時以上</f>
        <v>297</v>
      </c>
      <c r="F25" s="18" t="s">
        <v>6</v>
      </c>
      <c r="G25" s="59">
        <f>假日超時加班小計</f>
        <v>0</v>
      </c>
      <c r="H25" s="60"/>
    </row>
    <row r="26" spans="1:10" s="12" customFormat="1" ht="20.100000000000001" customHeight="1">
      <c r="A26" s="81" t="s">
        <v>42</v>
      </c>
      <c r="B26" s="71"/>
      <c r="C26" s="18">
        <f>SUM(G9:G18)</f>
        <v>0</v>
      </c>
      <c r="D26" s="18" t="s">
        <v>7</v>
      </c>
      <c r="E26" s="61">
        <f>加班費總金額</f>
        <v>0</v>
      </c>
      <c r="F26" s="62"/>
      <c r="G26" s="60"/>
      <c r="H26" s="60"/>
    </row>
    <row r="27" spans="1:10" s="46" customFormat="1" ht="78.599999999999994" customHeight="1">
      <c r="A27" s="52" t="s">
        <v>78</v>
      </c>
      <c r="B27" s="53"/>
      <c r="C27" s="54"/>
      <c r="D27" s="54"/>
      <c r="E27" s="54"/>
      <c r="F27" s="54"/>
      <c r="G27" s="54"/>
      <c r="H27" s="55"/>
    </row>
    <row r="28" spans="1:10" s="5" customFormat="1" ht="25.5" customHeight="1">
      <c r="A28" s="20" t="s">
        <v>8</v>
      </c>
      <c r="B28" s="21"/>
      <c r="C28" s="56" t="s">
        <v>62</v>
      </c>
      <c r="D28" s="58"/>
      <c r="E28" s="20" t="s">
        <v>10</v>
      </c>
      <c r="F28" s="32"/>
      <c r="G28" s="56" t="s">
        <v>9</v>
      </c>
      <c r="H28" s="57"/>
    </row>
    <row r="29" spans="1:10" s="5" customFormat="1" ht="7.5" customHeight="1">
      <c r="A29" s="22"/>
    </row>
    <row r="30" spans="1:10" s="5" customFormat="1" ht="19.5">
      <c r="A30" s="23" t="s">
        <v>23</v>
      </c>
    </row>
    <row r="32" spans="1:10" hidden="1">
      <c r="A32" s="4" t="s">
        <v>58</v>
      </c>
      <c r="B32" s="2" t="s">
        <v>15</v>
      </c>
      <c r="C32" s="5" t="s">
        <v>32</v>
      </c>
      <c r="D32" s="5" t="s">
        <v>33</v>
      </c>
      <c r="E32" s="5" t="s">
        <v>47</v>
      </c>
      <c r="F32" s="5" t="s">
        <v>34</v>
      </c>
      <c r="G32" s="5" t="s">
        <v>37</v>
      </c>
      <c r="H32" s="5" t="s">
        <v>76</v>
      </c>
      <c r="I32" s="5" t="s">
        <v>39</v>
      </c>
      <c r="J32" s="2" t="s">
        <v>43</v>
      </c>
    </row>
    <row r="33" spans="1:10" hidden="1">
      <c r="A33" s="4" t="str">
        <f t="shared" ref="A33:A42" si="0">IF(B9="","請選擇星期",IF(B9="國定假日","國定假日",IF(B9="","請選擇星期",IF(B9=$B$4,"休息日",IF(B9=$E$4,"例日","平日")))))</f>
        <v>平日</v>
      </c>
      <c r="B33" s="2">
        <v>1</v>
      </c>
      <c r="C33" s="2">
        <f t="shared" ref="C33:C42" si="1">IF(C9="平日",IF(G9&lt;=2,G9,2),0)+IF(IF(C9="國定假日",IF(G9-8&lt;=2,G9-8,0),0)&gt;0,IF(C9="國定假日",IF(G9-8&lt;=2,G9-8,0),0),0)+IF(C9="國定假日",IF(G9-8&gt;2,2,0),0)</f>
        <v>0</v>
      </c>
      <c r="D33" s="2">
        <f t="shared" ref="D33:D42" si="2">IF(C9="平日",IF(G9&gt;2,G9-2,0),0)+IF(C9="國定假日",IF(G9-8&gt;2,G9-8-2,0),0)</f>
        <v>0</v>
      </c>
      <c r="E33" s="2">
        <f t="shared" ref="E33:E42" si="3">IF(C9="例日",IF(G9&gt;0,1,0),0)+IF(C9="國定假日",IF(G9&gt;0,1,0),0)</f>
        <v>0</v>
      </c>
      <c r="F33" s="2">
        <f t="shared" ref="F33:F42" si="4">IF(C9="例日",IF(G9&gt;8,G9-8,0),0)</f>
        <v>0</v>
      </c>
      <c r="G33" s="2">
        <f>IF(C9="休息日",IF(G9&lt;=2,G9,2),0)</f>
        <v>0</v>
      </c>
      <c r="H33" s="2">
        <f>IF(C9="休息日",IF(G9&gt;8,6,IF(G9&gt;2,G9-2,IF(G9&lt;=2,0,0))),0)</f>
        <v>0</v>
      </c>
      <c r="I33" s="29">
        <f t="shared" ref="I33" si="5">IF(C9="休息日",IF(G9&gt;8,G9-8,0),0)</f>
        <v>0</v>
      </c>
      <c r="J33" s="2" t="str">
        <f t="shared" ref="J33:J42" si="6">IF(C9="例日","限天災、事變、突發事件",IF(G9&gt;12,"超過可加班時數",IF(G9&gt;0,IF(C9="","請輸入加班別"," "),"")))</f>
        <v/>
      </c>
    </row>
    <row r="34" spans="1:10" hidden="1">
      <c r="A34" s="4" t="str">
        <f t="shared" si="0"/>
        <v>請選擇星期</v>
      </c>
      <c r="B34" s="2">
        <v>2</v>
      </c>
      <c r="C34" s="2">
        <f t="shared" si="1"/>
        <v>0</v>
      </c>
      <c r="D34" s="2">
        <f t="shared" si="2"/>
        <v>0</v>
      </c>
      <c r="E34" s="2">
        <f t="shared" si="3"/>
        <v>0</v>
      </c>
      <c r="F34" s="2">
        <f t="shared" si="4"/>
        <v>0</v>
      </c>
      <c r="G34" s="2">
        <f t="shared" ref="G34:G42" si="7">IF(C10="休息日",IF(G10&lt;=2,G10,2),0)</f>
        <v>0</v>
      </c>
      <c r="H34" s="2">
        <f t="shared" ref="H34:H42" si="8">IF(C10="休息日",IF(G10&gt;8,6,IF(G10&gt;2,G10-2,IF(G10&lt;=2,0,0))),0)</f>
        <v>0</v>
      </c>
      <c r="I34" s="29">
        <f t="shared" ref="I34:I42" si="9">IF(C10="休息日",IF(G10&gt;8,G10-8,0),0)</f>
        <v>0</v>
      </c>
      <c r="J34" s="2" t="str">
        <f t="shared" si="6"/>
        <v/>
      </c>
    </row>
    <row r="35" spans="1:10" hidden="1">
      <c r="A35" s="4" t="str">
        <f t="shared" si="0"/>
        <v>請選擇星期</v>
      </c>
      <c r="B35" s="2">
        <v>3</v>
      </c>
      <c r="C35" s="2">
        <f t="shared" si="1"/>
        <v>0</v>
      </c>
      <c r="D35" s="2">
        <f t="shared" si="2"/>
        <v>0</v>
      </c>
      <c r="E35" s="2">
        <f t="shared" si="3"/>
        <v>0</v>
      </c>
      <c r="F35" s="2">
        <f t="shared" si="4"/>
        <v>0</v>
      </c>
      <c r="G35" s="2">
        <f t="shared" si="7"/>
        <v>0</v>
      </c>
      <c r="H35" s="2">
        <f t="shared" si="8"/>
        <v>0</v>
      </c>
      <c r="I35" s="29">
        <f t="shared" si="9"/>
        <v>0</v>
      </c>
      <c r="J35" s="2" t="str">
        <f t="shared" si="6"/>
        <v/>
      </c>
    </row>
    <row r="36" spans="1:10" hidden="1">
      <c r="A36" s="4" t="str">
        <f t="shared" si="0"/>
        <v>請選擇星期</v>
      </c>
      <c r="B36" s="2">
        <v>4</v>
      </c>
      <c r="C36" s="2">
        <f t="shared" si="1"/>
        <v>0</v>
      </c>
      <c r="D36" s="2">
        <f t="shared" si="2"/>
        <v>0</v>
      </c>
      <c r="E36" s="2">
        <f t="shared" si="3"/>
        <v>0</v>
      </c>
      <c r="F36" s="2">
        <f t="shared" si="4"/>
        <v>0</v>
      </c>
      <c r="G36" s="2">
        <f t="shared" si="7"/>
        <v>0</v>
      </c>
      <c r="H36" s="2">
        <f t="shared" si="8"/>
        <v>0</v>
      </c>
      <c r="I36" s="29">
        <f t="shared" si="9"/>
        <v>0</v>
      </c>
      <c r="J36" s="2" t="str">
        <f t="shared" si="6"/>
        <v/>
      </c>
    </row>
    <row r="37" spans="1:10" hidden="1">
      <c r="A37" s="4" t="str">
        <f t="shared" si="0"/>
        <v>請選擇星期</v>
      </c>
      <c r="B37" s="2">
        <v>5</v>
      </c>
      <c r="C37" s="2">
        <f t="shared" si="1"/>
        <v>0</v>
      </c>
      <c r="D37" s="2">
        <f t="shared" si="2"/>
        <v>0</v>
      </c>
      <c r="E37" s="2">
        <f t="shared" si="3"/>
        <v>0</v>
      </c>
      <c r="F37" s="2">
        <f t="shared" si="4"/>
        <v>0</v>
      </c>
      <c r="G37" s="2">
        <f t="shared" si="7"/>
        <v>0</v>
      </c>
      <c r="H37" s="2">
        <f t="shared" si="8"/>
        <v>0</v>
      </c>
      <c r="I37" s="29">
        <f t="shared" si="9"/>
        <v>0</v>
      </c>
      <c r="J37" s="2" t="str">
        <f t="shared" si="6"/>
        <v/>
      </c>
    </row>
    <row r="38" spans="1:10" hidden="1">
      <c r="A38" s="4" t="str">
        <f t="shared" si="0"/>
        <v>請選擇星期</v>
      </c>
      <c r="B38" s="2">
        <v>6</v>
      </c>
      <c r="C38" s="2">
        <f t="shared" si="1"/>
        <v>0</v>
      </c>
      <c r="D38" s="2">
        <f t="shared" si="2"/>
        <v>0</v>
      </c>
      <c r="E38" s="2">
        <f t="shared" si="3"/>
        <v>0</v>
      </c>
      <c r="F38" s="2">
        <f t="shared" si="4"/>
        <v>0</v>
      </c>
      <c r="G38" s="2">
        <f t="shared" si="7"/>
        <v>0</v>
      </c>
      <c r="H38" s="2">
        <f t="shared" si="8"/>
        <v>0</v>
      </c>
      <c r="I38" s="29">
        <f t="shared" si="9"/>
        <v>0</v>
      </c>
      <c r="J38" s="2" t="str">
        <f t="shared" si="6"/>
        <v/>
      </c>
    </row>
    <row r="39" spans="1:10" hidden="1">
      <c r="A39" s="4" t="str">
        <f t="shared" si="0"/>
        <v>請選擇星期</v>
      </c>
      <c r="B39" s="2">
        <v>7</v>
      </c>
      <c r="C39" s="2">
        <f t="shared" si="1"/>
        <v>0</v>
      </c>
      <c r="D39" s="2">
        <f t="shared" si="2"/>
        <v>0</v>
      </c>
      <c r="E39" s="2">
        <f t="shared" si="3"/>
        <v>0</v>
      </c>
      <c r="F39" s="2">
        <f t="shared" si="4"/>
        <v>0</v>
      </c>
      <c r="G39" s="2">
        <f t="shared" si="7"/>
        <v>0</v>
      </c>
      <c r="H39" s="2">
        <f t="shared" si="8"/>
        <v>0</v>
      </c>
      <c r="I39" s="29">
        <f t="shared" si="9"/>
        <v>0</v>
      </c>
      <c r="J39" s="2" t="str">
        <f t="shared" si="6"/>
        <v/>
      </c>
    </row>
    <row r="40" spans="1:10" hidden="1">
      <c r="A40" s="4" t="str">
        <f t="shared" si="0"/>
        <v>請選擇星期</v>
      </c>
      <c r="B40" s="2">
        <v>8</v>
      </c>
      <c r="C40" s="2">
        <f t="shared" si="1"/>
        <v>0</v>
      </c>
      <c r="D40" s="2">
        <f t="shared" si="2"/>
        <v>0</v>
      </c>
      <c r="E40" s="2">
        <f t="shared" si="3"/>
        <v>0</v>
      </c>
      <c r="F40" s="2">
        <f t="shared" si="4"/>
        <v>0</v>
      </c>
      <c r="G40" s="2">
        <f t="shared" si="7"/>
        <v>0</v>
      </c>
      <c r="H40" s="2">
        <f t="shared" si="8"/>
        <v>0</v>
      </c>
      <c r="I40" s="29">
        <f t="shared" si="9"/>
        <v>0</v>
      </c>
      <c r="J40" s="2" t="str">
        <f t="shared" si="6"/>
        <v/>
      </c>
    </row>
    <row r="41" spans="1:10" hidden="1">
      <c r="A41" s="4" t="str">
        <f t="shared" si="0"/>
        <v>請選擇星期</v>
      </c>
      <c r="B41" s="2">
        <v>9</v>
      </c>
      <c r="C41" s="2">
        <f t="shared" si="1"/>
        <v>0</v>
      </c>
      <c r="D41" s="2">
        <f t="shared" si="2"/>
        <v>0</v>
      </c>
      <c r="E41" s="2">
        <f t="shared" si="3"/>
        <v>0</v>
      </c>
      <c r="F41" s="2">
        <f t="shared" si="4"/>
        <v>0</v>
      </c>
      <c r="G41" s="2">
        <f t="shared" si="7"/>
        <v>0</v>
      </c>
      <c r="H41" s="2">
        <f t="shared" si="8"/>
        <v>0</v>
      </c>
      <c r="I41" s="29">
        <f t="shared" si="9"/>
        <v>0</v>
      </c>
      <c r="J41" s="2" t="str">
        <f t="shared" si="6"/>
        <v/>
      </c>
    </row>
    <row r="42" spans="1:10" hidden="1">
      <c r="A42" s="4" t="str">
        <f t="shared" si="0"/>
        <v>請選擇星期</v>
      </c>
      <c r="B42" s="2">
        <v>10</v>
      </c>
      <c r="C42" s="2">
        <f t="shared" si="1"/>
        <v>0</v>
      </c>
      <c r="D42" s="2">
        <f t="shared" si="2"/>
        <v>0</v>
      </c>
      <c r="E42" s="2">
        <f t="shared" si="3"/>
        <v>0</v>
      </c>
      <c r="F42" s="2">
        <f t="shared" si="4"/>
        <v>0</v>
      </c>
      <c r="G42" s="2">
        <f t="shared" si="7"/>
        <v>0</v>
      </c>
      <c r="H42" s="2">
        <f t="shared" si="8"/>
        <v>0</v>
      </c>
      <c r="I42" s="29">
        <f t="shared" si="9"/>
        <v>0</v>
      </c>
      <c r="J42" s="2" t="str">
        <f t="shared" si="6"/>
        <v/>
      </c>
    </row>
    <row r="43" spans="1:10" hidden="1">
      <c r="B43" s="2" t="s">
        <v>18</v>
      </c>
      <c r="C43" s="2">
        <f t="shared" ref="C43:I43" si="10">SUM(C33:C42)</f>
        <v>0</v>
      </c>
      <c r="D43" s="2">
        <f t="shared" si="10"/>
        <v>0</v>
      </c>
      <c r="E43" s="2">
        <f t="shared" si="10"/>
        <v>0</v>
      </c>
      <c r="F43" s="2">
        <f t="shared" si="10"/>
        <v>0</v>
      </c>
      <c r="G43" s="2">
        <f t="shared" si="10"/>
        <v>0</v>
      </c>
      <c r="H43" s="2">
        <f t="shared" si="10"/>
        <v>0</v>
      </c>
      <c r="I43" s="2">
        <f t="shared" si="10"/>
        <v>0</v>
      </c>
    </row>
    <row r="44" spans="1:10" hidden="1">
      <c r="B44" s="2" t="s">
        <v>19</v>
      </c>
      <c r="C44" s="2">
        <f>平日工作2小時以內時數*_2小時以內時薪</f>
        <v>0</v>
      </c>
      <c r="D44" s="2">
        <f>_2小時以上時薪*平日工作2小時以上時數</f>
        <v>0</v>
      </c>
      <c r="E44" s="2">
        <f>假日天數*假日日薪</f>
        <v>0</v>
      </c>
      <c r="F44" s="2">
        <f>假日超時加班時數*假日8小時以上</f>
        <v>0</v>
      </c>
      <c r="G44" s="2">
        <f>休日前2小時*_2小時以內時薪</f>
        <v>0</v>
      </c>
      <c r="H44" s="2">
        <f>休日2小時以上*_2小時以上時薪</f>
        <v>0</v>
      </c>
      <c r="I44" s="2">
        <f>休日超過8小時*休日8小時以上工資</f>
        <v>0</v>
      </c>
    </row>
    <row r="45" spans="1:10" hidden="1">
      <c r="I45" s="2">
        <f>SUM(C44:I44)</f>
        <v>0</v>
      </c>
    </row>
    <row r="46" spans="1:10" hidden="1">
      <c r="B46" s="2" t="s">
        <v>17</v>
      </c>
    </row>
    <row r="47" spans="1:10" hidden="1">
      <c r="A47" s="6" t="s">
        <v>14</v>
      </c>
      <c r="B47" s="2">
        <f>ROUND(VLOOKUP($G$3,$B$64:$I$74,7,FALSE),0)</f>
        <v>198</v>
      </c>
      <c r="C47" s="2">
        <v>111</v>
      </c>
      <c r="D47" s="2">
        <v>1</v>
      </c>
    </row>
    <row r="48" spans="1:10" hidden="1">
      <c r="A48" s="6" t="s">
        <v>29</v>
      </c>
      <c r="B48" s="2">
        <f>ROUND(VLOOKUP($G$3,$B$64:$I$74,8,FALSE),0)</f>
        <v>247</v>
      </c>
      <c r="C48" s="2">
        <v>112</v>
      </c>
      <c r="D48" s="2">
        <v>2</v>
      </c>
    </row>
    <row r="49" spans="1:9" hidden="1">
      <c r="A49" s="6" t="s">
        <v>30</v>
      </c>
      <c r="B49" s="2">
        <f>ROUND(VLOOKUP($G$3,$B$64:$I$74,5,FALSE),0)</f>
        <v>1187</v>
      </c>
      <c r="C49" s="2">
        <v>113</v>
      </c>
      <c r="D49" s="2">
        <v>3</v>
      </c>
    </row>
    <row r="50" spans="1:9" hidden="1">
      <c r="A50" s="33" t="s">
        <v>36</v>
      </c>
      <c r="B50" s="2">
        <f>ROUND(VLOOKUP($G$3,$B$64:$I$74,6,FALSE)*2,0)</f>
        <v>297</v>
      </c>
      <c r="D50" s="2">
        <v>4</v>
      </c>
    </row>
    <row r="51" spans="1:9" hidden="1">
      <c r="A51" s="22" t="s">
        <v>41</v>
      </c>
      <c r="B51" s="2">
        <f>ROUND(VLOOKUP($G$3,$B$64:$I$74,6,FALSE)+_2小時以上時薪,0)</f>
        <v>395</v>
      </c>
      <c r="D51" s="2">
        <v>5</v>
      </c>
    </row>
    <row r="52" spans="1:9" hidden="1">
      <c r="D52" s="2">
        <v>6</v>
      </c>
    </row>
    <row r="53" spans="1:9" hidden="1">
      <c r="A53" s="4" t="s">
        <v>63</v>
      </c>
      <c r="D53" s="2">
        <v>7</v>
      </c>
    </row>
    <row r="54" spans="1:9" hidden="1">
      <c r="A54" s="4" t="s">
        <v>51</v>
      </c>
      <c r="D54" s="2">
        <v>8</v>
      </c>
    </row>
    <row r="55" spans="1:9" hidden="1">
      <c r="A55" s="4" t="s">
        <v>52</v>
      </c>
      <c r="D55" s="2">
        <v>9</v>
      </c>
    </row>
    <row r="56" spans="1:9" hidden="1">
      <c r="A56" s="4" t="s">
        <v>53</v>
      </c>
      <c r="D56" s="2">
        <v>10</v>
      </c>
    </row>
    <row r="57" spans="1:9" hidden="1">
      <c r="A57" s="4" t="s">
        <v>54</v>
      </c>
      <c r="D57" s="2">
        <v>11</v>
      </c>
    </row>
    <row r="58" spans="1:9" hidden="1">
      <c r="A58" s="4" t="s">
        <v>55</v>
      </c>
      <c r="D58" s="2">
        <v>12</v>
      </c>
    </row>
    <row r="59" spans="1:9" hidden="1">
      <c r="A59" s="4" t="s">
        <v>56</v>
      </c>
    </row>
    <row r="60" spans="1:9" hidden="1">
      <c r="A60" s="4" t="s">
        <v>57</v>
      </c>
    </row>
    <row r="61" spans="1:9" ht="17.25" hidden="1" thickBot="1"/>
    <row r="62" spans="1:9" ht="20.25" hidden="1" thickBot="1">
      <c r="B62" s="47" t="s">
        <v>74</v>
      </c>
      <c r="C62" s="48"/>
      <c r="D62" s="48"/>
      <c r="E62" s="48"/>
      <c r="F62" s="48"/>
      <c r="G62" s="49"/>
      <c r="H62" s="50" t="s">
        <v>66</v>
      </c>
      <c r="I62" s="51"/>
    </row>
    <row r="63" spans="1:9" hidden="1">
      <c r="B63" s="35" t="s">
        <v>67</v>
      </c>
      <c r="C63" s="36" t="s">
        <v>65</v>
      </c>
      <c r="D63" s="37" t="s">
        <v>68</v>
      </c>
      <c r="E63" s="38" t="s">
        <v>69</v>
      </c>
      <c r="F63" s="38" t="s">
        <v>70</v>
      </c>
      <c r="G63" s="38" t="s">
        <v>71</v>
      </c>
      <c r="H63" s="38" t="s">
        <v>72</v>
      </c>
      <c r="I63" s="39" t="s">
        <v>73</v>
      </c>
    </row>
    <row r="64" spans="1:9" hidden="1">
      <c r="B64" s="43">
        <v>170</v>
      </c>
      <c r="C64" s="44">
        <v>19270</v>
      </c>
      <c r="D64" s="45">
        <v>16330</v>
      </c>
      <c r="E64" s="41">
        <f>SUM(C64:D64)</f>
        <v>35600</v>
      </c>
      <c r="F64" s="40">
        <f>E64/240*8</f>
        <v>1186.6666666666667</v>
      </c>
      <c r="G64" s="40">
        <f>E64/240</f>
        <v>148.33333333333334</v>
      </c>
      <c r="H64" s="40">
        <f>E64/240/3*4</f>
        <v>197.7777777777778</v>
      </c>
      <c r="I64" s="42">
        <f>E64/240/3*5</f>
        <v>247.22222222222226</v>
      </c>
    </row>
    <row r="65" spans="2:9" hidden="1">
      <c r="B65" s="43">
        <v>165</v>
      </c>
      <c r="C65" s="44">
        <v>18700</v>
      </c>
      <c r="D65" s="45">
        <v>16330</v>
      </c>
      <c r="E65" s="41">
        <f t="shared" ref="E64:E74" si="11">SUM(C65:D65)</f>
        <v>35030</v>
      </c>
      <c r="F65" s="40">
        <f t="shared" ref="F65:F74" si="12">E65/240*8</f>
        <v>1167.6666666666667</v>
      </c>
      <c r="G65" s="40">
        <f t="shared" ref="G65:G74" si="13">E65/240</f>
        <v>145.95833333333334</v>
      </c>
      <c r="H65" s="40">
        <f t="shared" ref="H65:H74" si="14">E65/240/3*4</f>
        <v>194.61111111111111</v>
      </c>
      <c r="I65" s="42">
        <f t="shared" ref="I65:I74" si="15">E65/240/3*5</f>
        <v>243.26388888888889</v>
      </c>
    </row>
    <row r="66" spans="2:9" hidden="1">
      <c r="B66" s="43">
        <v>160</v>
      </c>
      <c r="C66" s="44">
        <v>18130</v>
      </c>
      <c r="D66" s="45">
        <v>16330</v>
      </c>
      <c r="E66" s="41">
        <f t="shared" si="11"/>
        <v>34460</v>
      </c>
      <c r="F66" s="40">
        <f t="shared" si="12"/>
        <v>1148.6666666666667</v>
      </c>
      <c r="G66" s="40">
        <f t="shared" si="13"/>
        <v>143.58333333333334</v>
      </c>
      <c r="H66" s="40">
        <f t="shared" si="14"/>
        <v>191.44444444444446</v>
      </c>
      <c r="I66" s="42">
        <f t="shared" si="15"/>
        <v>239.30555555555557</v>
      </c>
    </row>
    <row r="67" spans="2:9" hidden="1">
      <c r="B67" s="43">
        <v>155</v>
      </c>
      <c r="C67" s="44">
        <v>17570</v>
      </c>
      <c r="D67" s="45">
        <v>16330</v>
      </c>
      <c r="E67" s="41">
        <f t="shared" si="11"/>
        <v>33900</v>
      </c>
      <c r="F67" s="40">
        <f t="shared" si="12"/>
        <v>1130</v>
      </c>
      <c r="G67" s="40">
        <f t="shared" si="13"/>
        <v>141.25</v>
      </c>
      <c r="H67" s="40">
        <f t="shared" si="14"/>
        <v>188.33333333333334</v>
      </c>
      <c r="I67" s="42">
        <f t="shared" si="15"/>
        <v>235.41666666666669</v>
      </c>
    </row>
    <row r="68" spans="2:9" hidden="1">
      <c r="B68" s="43">
        <v>150</v>
      </c>
      <c r="C68" s="44">
        <v>17000</v>
      </c>
      <c r="D68" s="45">
        <v>16330</v>
      </c>
      <c r="E68" s="41">
        <f t="shared" si="11"/>
        <v>33330</v>
      </c>
      <c r="F68" s="40">
        <f t="shared" si="12"/>
        <v>1111</v>
      </c>
      <c r="G68" s="40">
        <f t="shared" si="13"/>
        <v>138.875</v>
      </c>
      <c r="H68" s="40">
        <f t="shared" si="14"/>
        <v>185.16666666666666</v>
      </c>
      <c r="I68" s="42">
        <f t="shared" si="15"/>
        <v>231.45833333333331</v>
      </c>
    </row>
    <row r="69" spans="2:9" hidden="1">
      <c r="B69" s="43">
        <v>145</v>
      </c>
      <c r="C69" s="44">
        <v>16430</v>
      </c>
      <c r="D69" s="45">
        <v>16330</v>
      </c>
      <c r="E69" s="41">
        <f t="shared" si="11"/>
        <v>32760</v>
      </c>
      <c r="F69" s="40">
        <f t="shared" si="12"/>
        <v>1092</v>
      </c>
      <c r="G69" s="40">
        <f t="shared" si="13"/>
        <v>136.5</v>
      </c>
      <c r="H69" s="40">
        <f t="shared" si="14"/>
        <v>182</v>
      </c>
      <c r="I69" s="42">
        <f t="shared" si="15"/>
        <v>227.5</v>
      </c>
    </row>
    <row r="70" spans="2:9" hidden="1">
      <c r="B70" s="43">
        <v>140</v>
      </c>
      <c r="C70" s="44">
        <v>15870</v>
      </c>
      <c r="D70" s="45">
        <v>16330</v>
      </c>
      <c r="E70" s="41">
        <f t="shared" si="11"/>
        <v>32200</v>
      </c>
      <c r="F70" s="40">
        <f t="shared" si="12"/>
        <v>1073.3333333333333</v>
      </c>
      <c r="G70" s="40">
        <f t="shared" si="13"/>
        <v>134.16666666666666</v>
      </c>
      <c r="H70" s="40">
        <f t="shared" si="14"/>
        <v>178.88888888888889</v>
      </c>
      <c r="I70" s="42">
        <f t="shared" si="15"/>
        <v>223.61111111111111</v>
      </c>
    </row>
    <row r="71" spans="2:9" hidden="1">
      <c r="B71" s="43">
        <v>135</v>
      </c>
      <c r="C71" s="44">
        <v>15300</v>
      </c>
      <c r="D71" s="45">
        <v>16330</v>
      </c>
      <c r="E71" s="41">
        <f t="shared" si="11"/>
        <v>31630</v>
      </c>
      <c r="F71" s="40">
        <f t="shared" si="12"/>
        <v>1054.3333333333333</v>
      </c>
      <c r="G71" s="40">
        <f t="shared" si="13"/>
        <v>131.79166666666666</v>
      </c>
      <c r="H71" s="40">
        <f t="shared" si="14"/>
        <v>175.7222222222222</v>
      </c>
      <c r="I71" s="42">
        <f t="shared" si="15"/>
        <v>219.65277777777774</v>
      </c>
    </row>
    <row r="72" spans="2:9" hidden="1">
      <c r="B72" s="43">
        <v>130</v>
      </c>
      <c r="C72" s="44">
        <v>14730</v>
      </c>
      <c r="D72" s="45">
        <v>16330</v>
      </c>
      <c r="E72" s="41">
        <f t="shared" si="11"/>
        <v>31060</v>
      </c>
      <c r="F72" s="40">
        <f t="shared" si="12"/>
        <v>1035.3333333333333</v>
      </c>
      <c r="G72" s="40">
        <f t="shared" si="13"/>
        <v>129.41666666666666</v>
      </c>
      <c r="H72" s="40">
        <f t="shared" si="14"/>
        <v>172.55555555555554</v>
      </c>
      <c r="I72" s="42">
        <f t="shared" si="15"/>
        <v>215.69444444444443</v>
      </c>
    </row>
    <row r="73" spans="2:9" hidden="1">
      <c r="B73" s="43">
        <v>125</v>
      </c>
      <c r="C73" s="44">
        <v>14170</v>
      </c>
      <c r="D73" s="45">
        <v>16330</v>
      </c>
      <c r="E73" s="41">
        <f t="shared" si="11"/>
        <v>30500</v>
      </c>
      <c r="F73" s="40">
        <f t="shared" si="12"/>
        <v>1016.6666666666666</v>
      </c>
      <c r="G73" s="40">
        <f t="shared" si="13"/>
        <v>127.08333333333333</v>
      </c>
      <c r="H73" s="40">
        <f t="shared" si="14"/>
        <v>169.44444444444443</v>
      </c>
      <c r="I73" s="42">
        <f t="shared" si="15"/>
        <v>211.80555555555554</v>
      </c>
    </row>
    <row r="74" spans="2:9" hidden="1">
      <c r="B74" s="43">
        <v>120</v>
      </c>
      <c r="C74" s="44">
        <v>13600</v>
      </c>
      <c r="D74" s="45">
        <v>16330</v>
      </c>
      <c r="E74" s="41">
        <f t="shared" si="11"/>
        <v>29930</v>
      </c>
      <c r="F74" s="40">
        <f t="shared" si="12"/>
        <v>997.66666666666663</v>
      </c>
      <c r="G74" s="40">
        <f t="shared" si="13"/>
        <v>124.70833333333333</v>
      </c>
      <c r="H74" s="40">
        <f t="shared" si="14"/>
        <v>166.27777777777777</v>
      </c>
      <c r="I74" s="42">
        <f t="shared" si="15"/>
        <v>207.84722222222223</v>
      </c>
    </row>
    <row r="75" spans="2:9" hidden="1"/>
  </sheetData>
  <sheetProtection password="EEF7" sheet="1" objects="1" scenarios="1" formatCells="0" selectLockedCells="1"/>
  <mergeCells count="31">
    <mergeCell ref="A2:H2"/>
    <mergeCell ref="A1:H1"/>
    <mergeCell ref="G24:H24"/>
    <mergeCell ref="G20:H20"/>
    <mergeCell ref="G21:H21"/>
    <mergeCell ref="G22:H22"/>
    <mergeCell ref="G23:H23"/>
    <mergeCell ref="B4:C4"/>
    <mergeCell ref="A23:B23"/>
    <mergeCell ref="A20:B20"/>
    <mergeCell ref="G25:H25"/>
    <mergeCell ref="E26:H26"/>
    <mergeCell ref="G3:H3"/>
    <mergeCell ref="F4:H4"/>
    <mergeCell ref="A7:C7"/>
    <mergeCell ref="A19:B19"/>
    <mergeCell ref="C5:G5"/>
    <mergeCell ref="C6:G6"/>
    <mergeCell ref="G19:H19"/>
    <mergeCell ref="B3:C3"/>
    <mergeCell ref="A25:B25"/>
    <mergeCell ref="A5:A6"/>
    <mergeCell ref="A26:B26"/>
    <mergeCell ref="A24:B24"/>
    <mergeCell ref="A21:B21"/>
    <mergeCell ref="A22:B22"/>
    <mergeCell ref="B62:G62"/>
    <mergeCell ref="H62:I62"/>
    <mergeCell ref="A27:H27"/>
    <mergeCell ref="G28:H28"/>
    <mergeCell ref="C28:D28"/>
  </mergeCells>
  <phoneticPr fontId="3" type="noConversion"/>
  <dataValidations count="6">
    <dataValidation operator="lessThanOrEqual" allowBlank="1" showInputMessage="1" showErrorMessage="1" sqref="C26"/>
    <dataValidation type="list" allowBlank="1" showInputMessage="1" showErrorMessage="1" error="不得跨月請款" prompt="請使用下拉式選單" sqref="G7">
      <formula1>$D$47:$D$58</formula1>
    </dataValidation>
    <dataValidation type="decimal" allowBlank="1" showErrorMessage="1" errorTitle="超過可加班時數" error="超過可加班時數，請修正！" sqref="G9:G18">
      <formula1>0</formula1>
      <formula2>12</formula2>
    </dataValidation>
    <dataValidation type="list" allowBlank="1" showInputMessage="1" showErrorMessage="1" errorTitle="請使用下拉式選單" promptTitle="請使用下拉式選單" sqref="B9:B18 B4:C4 E4">
      <formula1>$A$53:$A$60</formula1>
    </dataValidation>
    <dataValidation type="list" allowBlank="1" showInputMessage="1" showErrorMessage="1" sqref="G3:H3">
      <formula1>$B$64:$B$74</formula1>
    </dataValidation>
    <dataValidation type="list" allowBlank="1" showInputMessage="1" showErrorMessage="1" prompt="請使用下拉式選單" sqref="E7">
      <formula1>$C$47:$C$48</formula1>
    </dataValidation>
  </dataValidations>
  <printOptions horizontalCentered="1"/>
  <pageMargins left="0.25" right="0.25" top="0.75" bottom="0.75" header="0.3" footer="0.3"/>
  <pageSetup paperSize="9" orientation="portrait" horizontalDpi="180" verticalDpi="180" r:id="rId1"/>
  <headerFooter alignWithMargins="0">
    <oddHeader xml:space="preserve">&amp;R111.01修正起適用
</oddHeader>
  </headerFooter>
  <cellWatches>
    <cellWatch r="A3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4</xdr:row>
                    <xdr:rowOff>76200</xdr:rowOff>
                  </from>
                  <to>
                    <xdr:col>2</xdr:col>
                    <xdr:colOff>57150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5</xdr:row>
                    <xdr:rowOff>57150</xdr:rowOff>
                  </from>
                  <to>
                    <xdr:col>2</xdr:col>
                    <xdr:colOff>57150</xdr:colOff>
                    <xdr:row>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40</vt:i4>
      </vt:variant>
    </vt:vector>
  </HeadingPairs>
  <TitlesOfParts>
    <vt:vector size="42" baseType="lpstr">
      <vt:lpstr>加班單</vt:lpstr>
      <vt:lpstr>工作表1</vt:lpstr>
      <vt:lpstr>_2小時以上時薪</vt:lpstr>
      <vt:lpstr>_2小時以內時薪</vt:lpstr>
      <vt:lpstr>加班別判斷</vt:lpstr>
      <vt:lpstr>加班別判斷1</vt:lpstr>
      <vt:lpstr>加班別判斷10</vt:lpstr>
      <vt:lpstr>加班別判斷2</vt:lpstr>
      <vt:lpstr>加班別判斷3</vt:lpstr>
      <vt:lpstr>加班別判斷4</vt:lpstr>
      <vt:lpstr>加班別判斷5</vt:lpstr>
      <vt:lpstr>加班別判斷6</vt:lpstr>
      <vt:lpstr>加班別判斷7</vt:lpstr>
      <vt:lpstr>加班別判斷8</vt:lpstr>
      <vt:lpstr>加班別判斷9</vt:lpstr>
      <vt:lpstr>加班費總金額</vt:lpstr>
      <vt:lpstr>平日2小時以上加班費小計</vt:lpstr>
      <vt:lpstr>平日2小時以內加班費小計</vt:lpstr>
      <vt:lpstr>平日工作2小時以上時數</vt:lpstr>
      <vt:lpstr>平日工作2小時以內時數</vt:lpstr>
      <vt:lpstr>休日2小時以上</vt:lpstr>
      <vt:lpstr>休日2小時以上加班費小計</vt:lpstr>
      <vt:lpstr>休日2小時以內加班費小計</vt:lpstr>
      <vt:lpstr>休日8小時以上工資</vt:lpstr>
      <vt:lpstr>休日前2小時</vt:lpstr>
      <vt:lpstr>休日超過8小時</vt:lpstr>
      <vt:lpstr>假日8小時以上</vt:lpstr>
      <vt:lpstr>假日天數</vt:lpstr>
      <vt:lpstr>假日日薪</vt:lpstr>
      <vt:lpstr>假日加班日薪小計</vt:lpstr>
      <vt:lpstr>假日超時加班小計</vt:lpstr>
      <vt:lpstr>假日超時加班時數</vt:lpstr>
      <vt:lpstr>備註1</vt:lpstr>
      <vt:lpstr>備註10</vt:lpstr>
      <vt:lpstr>備註2</vt:lpstr>
      <vt:lpstr>備註3</vt:lpstr>
      <vt:lpstr>備註4</vt:lpstr>
      <vt:lpstr>備註5</vt:lpstr>
      <vt:lpstr>備註6</vt:lpstr>
      <vt:lpstr>備註7</vt:lpstr>
      <vt:lpstr>備註8</vt:lpstr>
      <vt:lpstr>備註9</vt:lpstr>
    </vt:vector>
  </TitlesOfParts>
  <Company>person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per4;Frances in FJCU</dc:creator>
  <cp:lastModifiedBy>M640MB</cp:lastModifiedBy>
  <cp:lastPrinted>2022-05-03T07:24:55Z</cp:lastPrinted>
  <dcterms:created xsi:type="dcterms:W3CDTF">2001-02-28T07:37:12Z</dcterms:created>
  <dcterms:modified xsi:type="dcterms:W3CDTF">2022-09-30T08:06:50Z</dcterms:modified>
</cp:coreProperties>
</file>